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Calc" sheetId="1" r:id="rId1"/>
    <sheet name="Data" sheetId="2" r:id="rId2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Calc!$I$4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E11" i="1" s="1"/>
  <c r="C5" i="1"/>
  <c r="I7" i="1"/>
  <c r="H12" i="2" l="1"/>
  <c r="H10" i="2"/>
  <c r="C28" i="2"/>
  <c r="C27" i="2"/>
  <c r="C24" i="2"/>
  <c r="C23" i="2"/>
  <c r="C22" i="2"/>
  <c r="C26" i="2" s="1"/>
  <c r="C21" i="2"/>
  <c r="C19" i="2"/>
  <c r="C20" i="2"/>
  <c r="C18" i="2"/>
  <c r="E21" i="1"/>
  <c r="D28" i="2" s="1"/>
  <c r="E28" i="2" s="1"/>
  <c r="E20" i="1"/>
  <c r="E17" i="1"/>
  <c r="D24" i="2" s="1"/>
  <c r="E24" i="2" s="1"/>
  <c r="E16" i="1"/>
  <c r="D23" i="2" s="1"/>
  <c r="E23" i="2" s="1"/>
  <c r="E15" i="1"/>
  <c r="D22" i="2" s="1"/>
  <c r="E22" i="2" s="1"/>
  <c r="E14" i="1"/>
  <c r="J8" i="1" s="1"/>
  <c r="E13" i="1"/>
  <c r="D20" i="2" s="1"/>
  <c r="E20" i="2" s="1"/>
  <c r="F20" i="2" s="1"/>
  <c r="E12" i="1"/>
  <c r="D19" i="2" s="1"/>
  <c r="E19" i="2" s="1"/>
  <c r="D18" i="2"/>
  <c r="E18" i="2" s="1"/>
  <c r="D21" i="2" l="1"/>
  <c r="E21" i="2" s="1"/>
  <c r="F21" i="2" s="1"/>
  <c r="F22" i="2"/>
  <c r="F28" i="2"/>
  <c r="F24" i="2"/>
  <c r="C25" i="2"/>
  <c r="F23" i="2"/>
  <c r="F19" i="2"/>
  <c r="F18" i="2"/>
  <c r="F20" i="1"/>
  <c r="D27" i="2"/>
  <c r="E27" i="2" s="1"/>
  <c r="F27" i="2" s="1"/>
  <c r="E18" i="1"/>
  <c r="D25" i="2" s="1"/>
  <c r="E25" i="2" s="1"/>
  <c r="F15" i="1"/>
  <c r="F11" i="1"/>
  <c r="F14" i="1"/>
  <c r="F16" i="1"/>
  <c r="F17" i="1"/>
  <c r="F13" i="1"/>
  <c r="F21" i="1"/>
  <c r="F12" i="1"/>
  <c r="E19" i="1"/>
  <c r="D26" i="2" s="1"/>
  <c r="E26" i="2" s="1"/>
  <c r="F26" i="2" s="1"/>
  <c r="F25" i="2" l="1"/>
  <c r="K6" i="1" s="1"/>
  <c r="F19" i="1"/>
  <c r="F18" i="1"/>
  <c r="L6" i="1" l="1"/>
  <c r="L12" i="1" s="1"/>
  <c r="L11" i="1" l="1"/>
</calcChain>
</file>

<file path=xl/sharedStrings.xml><?xml version="1.0" encoding="utf-8"?>
<sst xmlns="http://schemas.openxmlformats.org/spreadsheetml/2006/main" count="47" uniqueCount="33">
  <si>
    <t>Date début</t>
  </si>
  <si>
    <t>Date fin</t>
  </si>
  <si>
    <t>Jours fériés</t>
  </si>
  <si>
    <t>Date</t>
  </si>
  <si>
    <t>Jours de l'an</t>
  </si>
  <si>
    <t>Noël</t>
  </si>
  <si>
    <t>La Toussaint</t>
  </si>
  <si>
    <t>Fête nationale</t>
  </si>
  <si>
    <t>Assomption</t>
  </si>
  <si>
    <t>Lundi de Pâques</t>
  </si>
  <si>
    <t>Fête du travail</t>
  </si>
  <si>
    <t>Jeudi de l'Ascension</t>
  </si>
  <si>
    <t>Lundi de Pentecôte</t>
  </si>
  <si>
    <t>Victoire 1945</t>
  </si>
  <si>
    <t>Armistice 1918</t>
  </si>
  <si>
    <t>Jours ouvrés</t>
  </si>
  <si>
    <t>Jour</t>
  </si>
  <si>
    <t>Fériés</t>
  </si>
  <si>
    <t>Autre formule déterminant le Lundi de de Pâques :</t>
  </si>
  <si>
    <t>Années : Liste déroulante</t>
  </si>
  <si>
    <t>Semaine à déduire / Semaines non travaillées (inter. Pédagogique, congés) : Liste déroulante</t>
  </si>
  <si>
    <t>NE PAS MODIFIER CETTE FEUILLE !</t>
  </si>
  <si>
    <t>A  TITRE  D'INFORMATION</t>
  </si>
  <si>
    <t>DEUST Année 2 :  CALCULATEUR  du NOMBRE de JOURS OUVRÉS et HEURES TRAVAILLÉES  DURANT VOTRE PÉRIODE D'ALTERNANCE :  AIDE au REMPLISSAGE de VOTRE CONVENTION ou CONTRAT D'ALTERNANCE</t>
  </si>
  <si>
    <t>1. Année universitaire</t>
  </si>
  <si>
    <t>Jour d'alternance ?</t>
  </si>
  <si>
    <t>Férié durant le stage ?</t>
  </si>
  <si>
    <t>heures sans interruption</t>
  </si>
  <si>
    <t xml:space="preserve">(7h/jour)  </t>
  </si>
  <si>
    <t>Estimation déficit d'heures pour congés universitaires  :</t>
  </si>
  <si>
    <r>
      <t xml:space="preserve">heures interruptions comprises </t>
    </r>
    <r>
      <rPr>
        <b/>
        <sz val="11"/>
        <color rgb="FFFF0000"/>
        <rFont val="Calibri"/>
        <family val="2"/>
        <scheme val="minor"/>
      </rPr>
      <t>!!! Estimations seulement !!!</t>
    </r>
  </si>
  <si>
    <t>2. Ajustez la période de stage ou contrat</t>
  </si>
  <si>
    <t>3. Résultat  Total heures travaillées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</si>
</sst>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yyyy"/>
    <numFmt numFmtId="165" formatCode="yyyy\-yy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141414"/>
      <name val="Segoe UI"/>
      <family val="2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.5"/>
      <color rgb="FFC0000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.5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0" fontId="7" fillId="0" borderId="1" xfId="0" applyFont="1" applyBorder="1"/>
    <xf numFmtId="0" fontId="6" fillId="0" borderId="0" xfId="0" applyFont="1" applyBorder="1"/>
    <xf numFmtId="0" fontId="7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/>
    </xf>
    <xf numFmtId="14" fontId="10" fillId="2" borderId="0" xfId="0" applyNumberFormat="1" applyFont="1" applyFill="1" applyAlignment="1">
      <alignment horizontal="center"/>
    </xf>
    <xf numFmtId="0" fontId="10" fillId="0" borderId="0" xfId="0" applyFont="1"/>
    <xf numFmtId="0" fontId="10" fillId="3" borderId="0" xfId="0" applyFont="1" applyFill="1" applyAlignment="1">
      <alignment horizontal="center"/>
    </xf>
    <xf numFmtId="14" fontId="10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14" fontId="11" fillId="3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14" fontId="11" fillId="2" borderId="0" xfId="0" applyNumberFormat="1" applyFont="1" applyFill="1" applyAlignment="1">
      <alignment horizontal="center"/>
    </xf>
    <xf numFmtId="0" fontId="12" fillId="0" borderId="0" xfId="0" applyFont="1"/>
    <xf numFmtId="0" fontId="1" fillId="0" borderId="0" xfId="0" applyFont="1"/>
    <xf numFmtId="0" fontId="0" fillId="0" borderId="0" xfId="0" quotePrefix="1"/>
    <xf numFmtId="0" fontId="14" fillId="0" borderId="0" xfId="0" applyFont="1"/>
    <xf numFmtId="164" fontId="0" fillId="0" borderId="0" xfId="0" applyNumberFormat="1"/>
    <xf numFmtId="1" fontId="0" fillId="0" borderId="0" xfId="0" applyNumberFormat="1" applyAlignment="1">
      <alignment horizontal="center"/>
    </xf>
    <xf numFmtId="0" fontId="15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0" fontId="2" fillId="5" borderId="0" xfId="0" applyFont="1" applyFill="1" applyBorder="1" applyAlignment="1">
      <alignment horizontal="left"/>
    </xf>
    <xf numFmtId="1" fontId="2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4" fontId="13" fillId="2" borderId="0" xfId="0" applyNumberFormat="1" applyFont="1" applyFill="1" applyAlignment="1">
      <alignment horizontal="left"/>
    </xf>
    <xf numFmtId="0" fontId="18" fillId="2" borderId="0" xfId="0" applyFont="1" applyFill="1" applyBorder="1"/>
    <xf numFmtId="0" fontId="0" fillId="2" borderId="0" xfId="0" applyFill="1" applyBorder="1"/>
    <xf numFmtId="1" fontId="0" fillId="0" borderId="0" xfId="0" applyNumberFormat="1" applyAlignment="1">
      <alignment horizontal="left"/>
    </xf>
    <xf numFmtId="0" fontId="0" fillId="0" borderId="0" xfId="0" applyFont="1"/>
    <xf numFmtId="0" fontId="20" fillId="0" borderId="0" xfId="0" applyFont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7" fillId="0" borderId="1" xfId="0" applyFont="1" applyBorder="1"/>
    <xf numFmtId="0" fontId="21" fillId="3" borderId="0" xfId="0" applyFont="1" applyFill="1" applyAlignment="1">
      <alignment horizontal="center"/>
    </xf>
    <xf numFmtId="14" fontId="21" fillId="3" borderId="0" xfId="0" applyNumberFormat="1" applyFont="1" applyFill="1" applyAlignment="1">
      <alignment horizontal="center"/>
    </xf>
    <xf numFmtId="2" fontId="4" fillId="0" borderId="0" xfId="0" applyNumberFormat="1" applyFon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8" fillId="0" borderId="0" xfId="0" applyFont="1" applyBorder="1"/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9" fillId="0" borderId="0" xfId="0" applyFont="1" applyAlignment="1">
      <alignment horizontal="center"/>
    </xf>
    <xf numFmtId="0" fontId="4" fillId="0" borderId="0" xfId="0" applyFont="1" applyBorder="1"/>
    <xf numFmtId="0" fontId="17" fillId="0" borderId="0" xfId="0" applyFont="1" applyBorder="1" applyAlignment="1">
      <alignment horizontal="center"/>
    </xf>
    <xf numFmtId="0" fontId="0" fillId="5" borderId="0" xfId="0" applyFill="1"/>
    <xf numFmtId="1" fontId="2" fillId="0" borderId="0" xfId="0" applyNumberFormat="1" applyFont="1" applyBorder="1" applyAlignment="1">
      <alignment horizontal="center"/>
    </xf>
    <xf numFmtId="0" fontId="15" fillId="0" borderId="1" xfId="0" applyFont="1" applyBorder="1"/>
    <xf numFmtId="14" fontId="9" fillId="0" borderId="0" xfId="0" applyNumberFormat="1" applyFont="1" applyAlignment="1">
      <alignment horizontal="right"/>
    </xf>
    <xf numFmtId="14" fontId="9" fillId="0" borderId="0" xfId="0" applyNumberFormat="1" applyFont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D13" sqref="D13"/>
    </sheetView>
  </sheetViews>
  <sheetFormatPr baseColWidth="10" defaultColWidth="8.85546875" defaultRowHeight="15" x14ac:dyDescent="0.25"/>
  <cols>
    <col min="1" max="1" width="15.42578125" customWidth="1"/>
    <col min="2" max="2" width="8.28515625" customWidth="1"/>
    <col min="3" max="3" width="12.28515625" bestFit="1" customWidth="1"/>
    <col min="4" max="4" width="20.7109375" customWidth="1"/>
    <col min="5" max="5" width="12.7109375" customWidth="1"/>
    <col min="6" max="6" width="6.7109375" customWidth="1"/>
    <col min="7" max="7" width="8.5703125" customWidth="1"/>
    <col min="8" max="8" width="10.42578125" bestFit="1" customWidth="1"/>
    <col min="9" max="9" width="13.140625" bestFit="1" customWidth="1"/>
    <col min="10" max="10" width="12.7109375" customWidth="1"/>
    <col min="11" max="11" width="10.28515625" customWidth="1"/>
    <col min="12" max="12" width="11.5703125" customWidth="1"/>
    <col min="13" max="13" width="26.42578125" bestFit="1" customWidth="1"/>
    <col min="14" max="14" width="6.140625" customWidth="1"/>
    <col min="15" max="15" width="12" bestFit="1" customWidth="1"/>
    <col min="16" max="16" width="10.7109375" customWidth="1"/>
    <col min="17" max="17" width="15.42578125" customWidth="1"/>
    <col min="18" max="18" width="19.140625" customWidth="1"/>
  </cols>
  <sheetData>
    <row r="1" spans="1:18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8" thickBot="1" x14ac:dyDescent="0.35">
      <c r="A2" s="48" t="s">
        <v>23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</row>
    <row r="3" spans="1:18" ht="15.75" x14ac:dyDescent="0.25">
      <c r="A3" s="4"/>
      <c r="B3" s="1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6.5" thickBot="1" x14ac:dyDescent="0.3">
      <c r="B4" s="2" t="s">
        <v>24</v>
      </c>
      <c r="C4" s="3"/>
      <c r="I4" s="64" t="s">
        <v>31</v>
      </c>
      <c r="J4" s="3"/>
      <c r="K4" s="11"/>
      <c r="L4" s="11"/>
      <c r="M4" s="4"/>
      <c r="N4" s="4"/>
      <c r="O4" s="4"/>
      <c r="P4" s="4"/>
      <c r="Q4" s="4"/>
      <c r="R4" s="4"/>
    </row>
    <row r="5" spans="1:18" ht="15.75" thickBot="1" x14ac:dyDescent="0.3">
      <c r="A5" s="5"/>
      <c r="B5" s="44">
        <f ca="1">YEAR(TODAY())-IF(AND(MONTH(TODAY())&gt;0,MONTH(TODAY())&lt;8),1,0)</f>
        <v>2021</v>
      </c>
      <c r="C5" s="55" t="str">
        <f ca="1">"- "&amp;YEAR(TODAY())+IF(AND(MONTH(TODAY())&gt;0,MONTH(TODAY())&lt;8),0,1)</f>
        <v>- 2022</v>
      </c>
      <c r="I5" s="9" t="s">
        <v>0</v>
      </c>
      <c r="J5" s="7" t="s">
        <v>1</v>
      </c>
      <c r="K5" s="7" t="s">
        <v>17</v>
      </c>
      <c r="L5" s="7" t="s">
        <v>15</v>
      </c>
      <c r="M5" s="54"/>
      <c r="N5" s="16"/>
      <c r="O5" s="4"/>
    </row>
    <row r="6" spans="1:18" x14ac:dyDescent="0.25">
      <c r="A6" s="5"/>
      <c r="B6" s="10"/>
      <c r="I6" s="65">
        <v>44473</v>
      </c>
      <c r="J6" s="66">
        <v>44692</v>
      </c>
      <c r="K6" s="32">
        <f ca="1">SUM(Data!$F$18:$F28)</f>
        <v>2</v>
      </c>
      <c r="L6" s="37">
        <f ca="1">IF($J$6&lt;DATE($B$5+1,7,1),NETWORKDAYS($I$6,$J$6,)-$K$6-IF($J$6&lt;$E$14,3*QUOTIENT(NETWORKDAYS($I$6,$J$6,),5),IF($I$6&gt;$E$14,2*QUOTIENT(NETWORKDAYS($I$6,$J$6,),5),3*QUOTIENT(NETWORKDAYS($I$6,$E$14,),5)+2*QUOTIENT(NETWORKDAYS($E$14,$J$6,),5))),NETWORKDAYS($I$6,$J$6,)-$K$6-IF($I$6&gt;$E$14,2*QUOTIENT(NETWORKDAYS($I$6,DATE($B$5+1,6,30),),5),3*QUOTIENT(NETWORKDAYS($I$6,$E$14,),5)+2*QUOTIENT(NETWORKDAYS($E$14,DATE($B$5+1,6,30),),5)))</f>
        <v>81</v>
      </c>
      <c r="M6" s="63"/>
    </row>
    <row r="7" spans="1:18" ht="15.75" x14ac:dyDescent="0.25">
      <c r="A7" s="5"/>
      <c r="I7" s="39" t="str">
        <f>IF(NOT(TEXT($I$6,"jjj")="lun"),"La date de démarrage n'est pas valide : "&amp;TEXT($I$6,"jjjjj")&amp;" !  Changer cette date pour un lundi.","")</f>
        <v/>
      </c>
      <c r="M7" s="38"/>
      <c r="N7" s="43"/>
    </row>
    <row r="8" spans="1:18" ht="15.75" x14ac:dyDescent="0.25">
      <c r="A8" s="5"/>
      <c r="C8" s="54"/>
      <c r="I8" s="33"/>
      <c r="J8" s="28" t="str">
        <f ca="1">IF($J$6&gt;DATE($B$5+1,8,31),"En aucun cas la date de fin ne peut excéder le 31 août de l'année en cours !", IF(OR(AND(NOT(TEXT($J$6,"jjj")="mar"),$J$6&lt;$E$14),AND(NOT(TEXT($J$6,"jjj")="mer"),$J$6&gt;$E$14,$J$6&lt;DATE($B$5+1,7,1))),"La date de fin n'est pas valide : "&amp;TEXT($J$6,"jjjjj")&amp;" !  Changer cette date pour un "&amp;IF($J$6&lt;$E$14,"mardi.","mercredi."),""))</f>
        <v/>
      </c>
      <c r="L8" s="34"/>
      <c r="M8" s="35"/>
      <c r="N8" s="5"/>
      <c r="O8" s="51"/>
    </row>
    <row r="9" spans="1:18" ht="15.75" thickBot="1" x14ac:dyDescent="0.3">
      <c r="A9" s="6"/>
      <c r="D9" s="74" t="s">
        <v>22</v>
      </c>
      <c r="E9" s="74"/>
      <c r="F9" s="74"/>
    </row>
    <row r="10" spans="1:18" ht="15" customHeight="1" thickBot="1" x14ac:dyDescent="0.3">
      <c r="A10" s="5"/>
      <c r="D10" s="8" t="s">
        <v>2</v>
      </c>
      <c r="E10" s="8" t="s">
        <v>3</v>
      </c>
      <c r="F10" s="8" t="s">
        <v>16</v>
      </c>
      <c r="G10" s="14"/>
      <c r="H10" s="15"/>
      <c r="I10" s="67"/>
      <c r="J10" s="68"/>
      <c r="K10" s="68"/>
      <c r="L10" s="68"/>
      <c r="M10" s="68"/>
      <c r="N10" s="68"/>
      <c r="O10" s="68"/>
      <c r="P10" s="69"/>
    </row>
    <row r="11" spans="1:18" ht="15" customHeight="1" x14ac:dyDescent="0.3">
      <c r="A11" s="5"/>
      <c r="D11" s="18" t="s">
        <v>6</v>
      </c>
      <c r="E11" s="19">
        <f ca="1">DATE($B$5,11,1)</f>
        <v>44501</v>
      </c>
      <c r="F11" s="18" t="str">
        <f ca="1">TEXT($E$11,"jjj")</f>
        <v>lun</v>
      </c>
      <c r="G11" s="46"/>
      <c r="H11" s="46"/>
      <c r="I11" s="70"/>
      <c r="J11" s="56"/>
      <c r="K11" s="57" t="s">
        <v>32</v>
      </c>
      <c r="L11" s="61">
        <f ca="1">$L$6*7</f>
        <v>567</v>
      </c>
      <c r="M11" s="13" t="s">
        <v>27</v>
      </c>
      <c r="N11" s="4"/>
      <c r="O11" s="4"/>
      <c r="P11" s="71"/>
    </row>
    <row r="12" spans="1:18" ht="15" customHeight="1" x14ac:dyDescent="0.3">
      <c r="A12" s="5"/>
      <c r="D12" s="21" t="s">
        <v>14</v>
      </c>
      <c r="E12" s="22">
        <f ca="1">DATE($B$5,11,11)</f>
        <v>44511</v>
      </c>
      <c r="F12" s="21" t="str">
        <f ca="1">TEXT($E$12,"jjj")</f>
        <v>jeu</v>
      </c>
      <c r="G12" s="46"/>
      <c r="H12" s="46"/>
      <c r="I12" s="70"/>
      <c r="J12" s="4"/>
      <c r="K12" s="58" t="s">
        <v>28</v>
      </c>
      <c r="L12" s="61">
        <f ca="1">$L$6*7-Data!$H$12</f>
        <v>504</v>
      </c>
      <c r="M12" s="60" t="s">
        <v>30</v>
      </c>
      <c r="N12" s="4"/>
      <c r="O12" s="4"/>
      <c r="P12" s="71"/>
    </row>
    <row r="13" spans="1:18" ht="15.75" thickBot="1" x14ac:dyDescent="0.3">
      <c r="A13" s="52"/>
      <c r="D13" s="18" t="s">
        <v>5</v>
      </c>
      <c r="E13" s="19">
        <f ca="1">DATE($B$5,12,25)</f>
        <v>44555</v>
      </c>
      <c r="F13" s="18" t="str">
        <f ca="1">TEXT($E$13,"jjj")</f>
        <v>sam</v>
      </c>
      <c r="G13" s="46"/>
      <c r="H13" s="46"/>
      <c r="I13" s="72"/>
      <c r="J13" s="3"/>
      <c r="K13" s="3"/>
      <c r="L13" s="3"/>
      <c r="M13" s="3"/>
      <c r="N13" s="3"/>
      <c r="O13" s="3"/>
      <c r="P13" s="73"/>
    </row>
    <row r="14" spans="1:18" x14ac:dyDescent="0.25">
      <c r="A14" s="5"/>
      <c r="D14" s="49" t="s">
        <v>4</v>
      </c>
      <c r="E14" s="50">
        <f ca="1">DATE($B$5+1,1,1)</f>
        <v>44562</v>
      </c>
      <c r="F14" s="49" t="str">
        <f ca="1">TEXT($E$14,"jjj")</f>
        <v>sam</v>
      </c>
      <c r="G14" s="47"/>
      <c r="H14" s="47"/>
    </row>
    <row r="15" spans="1:18" x14ac:dyDescent="0.25">
      <c r="A15" s="53"/>
      <c r="D15" s="25" t="s">
        <v>9</v>
      </c>
      <c r="E15" s="26">
        <f ca="1">(ROUND(DATE($B$5+1,4,MOD(234-11*MOD($B$5+1,19),30))/7,)*7-6)+1</f>
        <v>44669</v>
      </c>
      <c r="F15" s="25" t="str">
        <f ca="1">TEXT($E$15,"jjj")</f>
        <v>lun</v>
      </c>
      <c r="G15" s="47"/>
      <c r="H15" s="47"/>
    </row>
    <row r="16" spans="1:18" x14ac:dyDescent="0.25">
      <c r="A16" s="5"/>
      <c r="D16" s="23" t="s">
        <v>10</v>
      </c>
      <c r="E16" s="24">
        <f ca="1">DATE($B$5+1,5,1)</f>
        <v>44682</v>
      </c>
      <c r="F16" s="23" t="str">
        <f ca="1">TEXT($E$16,"jjj")</f>
        <v>dim</v>
      </c>
      <c r="G16" s="47"/>
      <c r="H16" s="47"/>
    </row>
    <row r="17" spans="1:14" x14ac:dyDescent="0.25">
      <c r="A17" s="5"/>
      <c r="D17" s="25" t="s">
        <v>13</v>
      </c>
      <c r="E17" s="26">
        <f ca="1">DATE($B$5+1,5,8)</f>
        <v>44689</v>
      </c>
      <c r="F17" s="25" t="str">
        <f ca="1">TEXT($E$17,"jjj")</f>
        <v>dim</v>
      </c>
      <c r="G17" s="47"/>
      <c r="H17" s="47"/>
    </row>
    <row r="18" spans="1:14" x14ac:dyDescent="0.25">
      <c r="A18" s="5"/>
      <c r="D18" s="23" t="s">
        <v>11</v>
      </c>
      <c r="E18" s="24">
        <f ca="1">E15+38</f>
        <v>44707</v>
      </c>
      <c r="F18" s="23" t="str">
        <f ca="1">TEXT($E$18,"jjj")</f>
        <v>jeu</v>
      </c>
      <c r="G18" s="47"/>
      <c r="H18" s="47"/>
      <c r="I18" s="4"/>
      <c r="J18" s="4"/>
      <c r="K18" s="4"/>
      <c r="L18" s="60"/>
      <c r="M18" s="4"/>
      <c r="N18" s="4"/>
    </row>
    <row r="19" spans="1:14" x14ac:dyDescent="0.25">
      <c r="A19" s="27"/>
      <c r="D19" s="25" t="s">
        <v>12</v>
      </c>
      <c r="E19" s="26">
        <f ca="1">E15+49</f>
        <v>44718</v>
      </c>
      <c r="F19" s="25" t="str">
        <f ca="1">TEXT($E$19,"jjj")</f>
        <v>lun</v>
      </c>
      <c r="G19" s="47"/>
      <c r="H19" s="47"/>
    </row>
    <row r="20" spans="1:14" x14ac:dyDescent="0.25">
      <c r="D20" s="23" t="s">
        <v>7</v>
      </c>
      <c r="E20" s="24">
        <f ca="1">DATE($B$5+1,7,14)</f>
        <v>44756</v>
      </c>
      <c r="F20" s="23" t="str">
        <f ca="1">TEXT($E$20,"jjj")</f>
        <v>jeu</v>
      </c>
      <c r="G20" s="47"/>
      <c r="H20" s="47"/>
    </row>
    <row r="21" spans="1:14" x14ac:dyDescent="0.25">
      <c r="D21" s="25" t="s">
        <v>8</v>
      </c>
      <c r="E21" s="26">
        <f ca="1">DATE($B$5+1,8,15)</f>
        <v>44788</v>
      </c>
      <c r="F21" s="25" t="str">
        <f ca="1">TEXT($E$21,"jjj")</f>
        <v>lun</v>
      </c>
      <c r="G21" s="47"/>
      <c r="H21" s="47"/>
    </row>
    <row r="22" spans="1:14" x14ac:dyDescent="0.25">
      <c r="D22" s="31"/>
      <c r="G22" s="29"/>
      <c r="L22" s="37"/>
    </row>
    <row r="23" spans="1:14" ht="16.5" x14ac:dyDescent="0.3">
      <c r="D23" s="31"/>
      <c r="G23" s="30"/>
      <c r="L23" s="5"/>
    </row>
    <row r="24" spans="1:14" x14ac:dyDescent="0.25">
      <c r="D24" s="31"/>
      <c r="L24" s="5"/>
    </row>
    <row r="25" spans="1:14" x14ac:dyDescent="0.25">
      <c r="D25" s="31"/>
      <c r="L25" s="59"/>
    </row>
  </sheetData>
  <mergeCells count="1">
    <mergeCell ref="D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H12" sqref="H12"/>
    </sheetView>
  </sheetViews>
  <sheetFormatPr baseColWidth="10" defaultRowHeight="15" x14ac:dyDescent="0.25"/>
  <cols>
    <col min="2" max="2" width="23.5703125" customWidth="1"/>
    <col min="5" max="5" width="16.7109375" customWidth="1"/>
    <col min="6" max="6" width="20.7109375" bestFit="1" customWidth="1"/>
    <col min="7" max="7" width="11.85546875" customWidth="1"/>
  </cols>
  <sheetData>
    <row r="1" spans="1:8" ht="18.75" x14ac:dyDescent="0.3">
      <c r="A1" s="45" t="s">
        <v>21</v>
      </c>
    </row>
    <row r="2" spans="1:8" x14ac:dyDescent="0.25">
      <c r="B2" s="1" t="s">
        <v>19</v>
      </c>
      <c r="E2" s="17" t="s">
        <v>20</v>
      </c>
    </row>
    <row r="3" spans="1:8" x14ac:dyDescent="0.25">
      <c r="B3" s="5">
        <v>2019</v>
      </c>
      <c r="E3" s="20">
        <v>0</v>
      </c>
    </row>
    <row r="4" spans="1:8" x14ac:dyDescent="0.25">
      <c r="B4" s="5">
        <v>2020</v>
      </c>
      <c r="E4" s="20">
        <v>1</v>
      </c>
    </row>
    <row r="5" spans="1:8" x14ac:dyDescent="0.25">
      <c r="B5" s="5">
        <v>2021</v>
      </c>
      <c r="E5" s="20">
        <v>2</v>
      </c>
    </row>
    <row r="6" spans="1:8" x14ac:dyDescent="0.25">
      <c r="B6" s="5">
        <v>2022</v>
      </c>
      <c r="E6" s="20">
        <v>3</v>
      </c>
    </row>
    <row r="7" spans="1:8" x14ac:dyDescent="0.25">
      <c r="B7" s="5">
        <v>2023</v>
      </c>
    </row>
    <row r="8" spans="1:8" x14ac:dyDescent="0.25">
      <c r="B8" s="5">
        <v>2024</v>
      </c>
    </row>
    <row r="9" spans="1:8" x14ac:dyDescent="0.25">
      <c r="B9" s="5">
        <v>2025</v>
      </c>
    </row>
    <row r="10" spans="1:8" x14ac:dyDescent="0.25">
      <c r="B10" s="5">
        <v>2026</v>
      </c>
      <c r="E10" s="41" t="s">
        <v>18</v>
      </c>
      <c r="F10" s="42"/>
      <c r="G10" s="42"/>
      <c r="H10" s="40">
        <f ca="1" xml:space="preserve"> (FLOOR(DAY(MINUTE((Calc!$B$5+1)/38)/2+56)&amp;"/5/"&amp;(Calc!$B$5+1),7)-34)+1</f>
        <v>44669</v>
      </c>
    </row>
    <row r="11" spans="1:8" x14ac:dyDescent="0.25">
      <c r="B11" s="5">
        <v>2027</v>
      </c>
    </row>
    <row r="12" spans="1:8" x14ac:dyDescent="0.25">
      <c r="B12" s="5">
        <v>2028</v>
      </c>
      <c r="E12" s="36" t="s">
        <v>29</v>
      </c>
      <c r="F12" s="62"/>
      <c r="G12" s="62"/>
      <c r="H12" s="5">
        <f ca="1">IF(OR(Calc!$I$6&lt;DATE(Calc!$B$5,11,1),Calc!$I$6&gt;DATE(Calc!$B$5+1,1,1)),63,91)</f>
        <v>63</v>
      </c>
    </row>
    <row r="13" spans="1:8" x14ac:dyDescent="0.25">
      <c r="B13" s="5">
        <v>2029</v>
      </c>
    </row>
    <row r="14" spans="1:8" x14ac:dyDescent="0.25">
      <c r="B14" s="5">
        <v>2030</v>
      </c>
    </row>
    <row r="15" spans="1:8" x14ac:dyDescent="0.25">
      <c r="B15" s="5"/>
    </row>
    <row r="16" spans="1:8" x14ac:dyDescent="0.25">
      <c r="B16" s="5"/>
    </row>
    <row r="17" spans="2:8" ht="15.75" thickBot="1" x14ac:dyDescent="0.3">
      <c r="B17" s="8" t="s">
        <v>2</v>
      </c>
      <c r="C17" s="8" t="s">
        <v>3</v>
      </c>
      <c r="D17" s="8" t="s">
        <v>16</v>
      </c>
      <c r="E17" s="8" t="s">
        <v>25</v>
      </c>
      <c r="F17" s="8" t="s">
        <v>26</v>
      </c>
    </row>
    <row r="18" spans="2:8" x14ac:dyDescent="0.25">
      <c r="B18" s="18" t="s">
        <v>6</v>
      </c>
      <c r="C18" s="19">
        <f ca="1">DATE(Calc!$B$5,11,1)</f>
        <v>44501</v>
      </c>
      <c r="D18" s="18" t="str">
        <f ca="1">TEXT(Calc!$E$11,"jjj")</f>
        <v>lun</v>
      </c>
      <c r="E18" s="18">
        <f ca="1">IF(OR($D$18="lun",$D$18="mar"),1,0)</f>
        <v>1</v>
      </c>
      <c r="F18" s="18">
        <f ca="1">IF(AND($E$18=1,CELL("contenu",$C$18)&lt;=CELL("contenu",Calc!$J$6),CELL("contenu",$C$18)&gt;=CELL("contenu",Calc!$I$6)),1,0)</f>
        <v>1</v>
      </c>
      <c r="H18" s="10"/>
    </row>
    <row r="19" spans="2:8" x14ac:dyDescent="0.25">
      <c r="B19" s="21" t="s">
        <v>14</v>
      </c>
      <c r="C19" s="22">
        <f ca="1">DATE(Calc!$B$5,11,11)</f>
        <v>44511</v>
      </c>
      <c r="D19" s="21" t="str">
        <f ca="1">TEXT(Calc!$E$12,"jjj")</f>
        <v>jeu</v>
      </c>
      <c r="E19" s="21">
        <f ca="1">IF(OR($D$19="lun",$D$19="mar"),1,0)</f>
        <v>0</v>
      </c>
      <c r="F19" s="21">
        <f ca="1">IF(AND($E$19=1,CELL("contenu",$C$19)&lt;=CELL("contenu",Calc!$J$6),CELL("contenu",$C$19)&gt;=CELL("contenu",Calc!$I$6)),1,0)</f>
        <v>0</v>
      </c>
    </row>
    <row r="20" spans="2:8" x14ac:dyDescent="0.25">
      <c r="B20" s="18" t="s">
        <v>5</v>
      </c>
      <c r="C20" s="19">
        <f ca="1">DATE(Calc!$B$5,12,25)</f>
        <v>44555</v>
      </c>
      <c r="D20" s="18" t="str">
        <f ca="1">TEXT(Calc!$E$13,"jjj")</f>
        <v>sam</v>
      </c>
      <c r="E20" s="18">
        <f ca="1">IF(OR($D$20="lun",$D$20="mar"),1,0)</f>
        <v>0</v>
      </c>
      <c r="F20" s="18">
        <f ca="1">IF(AND($E$20=1,CELL("contenu",$C$20)&lt;=CELL("contenu",Calc!$J$6),CELL("contenu",$C$20)&gt;=CELL("contenu",Calc!$I$6)),1,0)</f>
        <v>0</v>
      </c>
    </row>
    <row r="21" spans="2:8" x14ac:dyDescent="0.25">
      <c r="B21" s="23" t="s">
        <v>4</v>
      </c>
      <c r="C21" s="24">
        <f ca="1">DATE(Calc!$B$5+1,1,1)</f>
        <v>44562</v>
      </c>
      <c r="D21" s="23" t="str">
        <f ca="1">TEXT(Calc!$E$14,"jjj")</f>
        <v>sam</v>
      </c>
      <c r="E21" s="23">
        <f ca="1">IF(OR($D$21="lun",$D$21="mar",$D$21="mer"),1,0)</f>
        <v>0</v>
      </c>
      <c r="F21" s="23">
        <f ca="1">IF(AND($E$21=1,CELL("contenu",$C$21)&lt;=CELL("contenu",Calc!$J$6),CELL("contenu",$C$21)&gt;=CELL("contenu",Calc!$I$6)),1,0)</f>
        <v>0</v>
      </c>
    </row>
    <row r="22" spans="2:8" x14ac:dyDescent="0.25">
      <c r="B22" s="25" t="s">
        <v>9</v>
      </c>
      <c r="C22" s="26">
        <f ca="1">(ROUND(DATE(Calc!$B$5+1,4,MOD(234-11*MOD(Calc!$B$5+1,19),30))/7,)*7-6)+1</f>
        <v>44669</v>
      </c>
      <c r="D22" s="25" t="str">
        <f ca="1">TEXT(Calc!$E$15,"jjj")</f>
        <v>lun</v>
      </c>
      <c r="E22" s="25">
        <f ca="1">IF(OR($D$22="lun",$D$22="mar",$D$22="mer"),1,0)</f>
        <v>1</v>
      </c>
      <c r="F22" s="25">
        <f ca="1">IF(AND($E$22=1,CELL("contenu",$C$22)&lt;=CELL("contenu",Calc!$J$6),CELL("contenu",$C$22)&gt;=CELL("contenu",Calc!$I$6)),1,0)</f>
        <v>1</v>
      </c>
    </row>
    <row r="23" spans="2:8" x14ac:dyDescent="0.25">
      <c r="B23" s="23" t="s">
        <v>10</v>
      </c>
      <c r="C23" s="24">
        <f ca="1">DATE(Calc!$B$5+1,5,1)</f>
        <v>44682</v>
      </c>
      <c r="D23" s="23" t="str">
        <f ca="1">TEXT(Calc!$E$16,"jjj")</f>
        <v>dim</v>
      </c>
      <c r="E23" s="23">
        <f ca="1">IF(OR($D$23="lun",$D$23="mar",$D$23="mer"),1,0)</f>
        <v>0</v>
      </c>
      <c r="F23" s="23">
        <f ca="1">IF(AND($E$23=1,CELL("contenu",$C$23)&lt;=CELL("contenu",Calc!$J$6),CELL("contenu",$C$23)&gt;=CELL("contenu",Calc!$I$6)),1,0)</f>
        <v>0</v>
      </c>
    </row>
    <row r="24" spans="2:8" x14ac:dyDescent="0.25">
      <c r="B24" s="25" t="s">
        <v>13</v>
      </c>
      <c r="C24" s="26">
        <f ca="1">DATE(Calc!$B$5+1,5,8)</f>
        <v>44689</v>
      </c>
      <c r="D24" s="25" t="str">
        <f ca="1">TEXT(Calc!$E$17,"jjj")</f>
        <v>dim</v>
      </c>
      <c r="E24" s="25">
        <f ca="1">IF(OR($D$24="lun",$D$24="mar",$D$24="mer"),1,0)</f>
        <v>0</v>
      </c>
      <c r="F24" s="25">
        <f ca="1">IF(AND($E$24=1,CELL("contenu",$C$24)&lt;=CELL("contenu",Calc!$J$6),CELL("contenu",$C$24)&gt;=CELL("contenu",Calc!$I$6)),1,0)</f>
        <v>0</v>
      </c>
    </row>
    <row r="25" spans="2:8" x14ac:dyDescent="0.25">
      <c r="B25" s="23" t="s">
        <v>11</v>
      </c>
      <c r="C25" s="24">
        <f ca="1">$C$22+38</f>
        <v>44707</v>
      </c>
      <c r="D25" s="23" t="str">
        <f ca="1">TEXT(Calc!$E$18,"jjj")</f>
        <v>jeu</v>
      </c>
      <c r="E25" s="23">
        <f ca="1">IF(OR($D$25="lun",$D$25="mar",$D$25="mer"),1,0)</f>
        <v>0</v>
      </c>
      <c r="F25" s="23">
        <f ca="1">IF(AND($E$25=1,CELL("contenu",$C$25)&lt;=CELL("contenu",Calc!$J$6),CELL("contenu",$C$25)&gt;=CELL("contenu",Calc!$I$6)),1,0)</f>
        <v>0</v>
      </c>
    </row>
    <row r="26" spans="2:8" x14ac:dyDescent="0.25">
      <c r="B26" s="25" t="s">
        <v>12</v>
      </c>
      <c r="C26" s="26">
        <f ca="1">$C$22+49</f>
        <v>44718</v>
      </c>
      <c r="D26" s="25" t="str">
        <f ca="1">TEXT(Calc!$E$19,"jjj")</f>
        <v>lun</v>
      </c>
      <c r="E26" s="25">
        <f ca="1">IF(OR($D$26="lun",$D$26="mar",$D$26="mer"),1,0)</f>
        <v>1</v>
      </c>
      <c r="F26" s="25">
        <f ca="1">IF(AND($E$26=1,CELL("contenu",$C$26)&lt;=CELL("contenu",Calc!$J$6),CELL("contenu",$C$26)&gt;=CELL("contenu",Calc!$I$6)),1,0)</f>
        <v>0</v>
      </c>
    </row>
    <row r="27" spans="2:8" x14ac:dyDescent="0.25">
      <c r="B27" s="23" t="s">
        <v>7</v>
      </c>
      <c r="C27" s="24">
        <f ca="1">DATE(Calc!$B$5+1,7,14)</f>
        <v>44756</v>
      </c>
      <c r="D27" s="23" t="str">
        <f ca="1">TEXT(Calc!$E$20,"jjj")</f>
        <v>jeu</v>
      </c>
      <c r="E27" s="23">
        <f ca="1">IF(OR($D$27="lun",$D$27="mar",$D$27="mer"),1,0)</f>
        <v>0</v>
      </c>
      <c r="F27" s="23">
        <f ca="1">IF(AND($E$27=1,CELL("contenu",$C$27)&lt;=CELL("contenu",Calc!$J$6),CELL("contenu",$C$27)&gt;=CELL("contenu",Calc!$I$6)),1,0)</f>
        <v>0</v>
      </c>
    </row>
    <row r="28" spans="2:8" x14ac:dyDescent="0.25">
      <c r="B28" s="25" t="s">
        <v>8</v>
      </c>
      <c r="C28" s="26">
        <f ca="1">DATE(Calc!$B$5+1,8,15)</f>
        <v>44788</v>
      </c>
      <c r="D28" s="25" t="str">
        <f ca="1">TEXT(Calc!$E$21,"jjj")</f>
        <v>lun</v>
      </c>
      <c r="E28" s="25">
        <f ca="1">IF(OR($D$28="lun",$D$28="mar",$D$28="mer"),1,0)</f>
        <v>1</v>
      </c>
      <c r="F28" s="25">
        <f ca="1">IF(AND($E$28=1,CELL("contenu",$C$28)&lt;=CELL("contenu",Calc!$J$6),CELL("contenu",$C$28)&gt;=CELL("contenu",Calc!$I$6)),1,0)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Calc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2021-09-15T16:01:20Z</dcterms:modified>
</cp:coreProperties>
</file>